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C:\Users\caldarella-975653\Desktop\"/>
    </mc:Choice>
  </mc:AlternateContent>
  <bookViews>
    <workbookView xWindow="0" yWindow="0" windowWidth="23040" windowHeight="9096"/>
  </bookViews>
  <sheets>
    <sheet name="o5224908" sheetId="1" r:id="rId1"/>
  </sheets>
  <definedNames>
    <definedName name="_xlnm._FilterDatabase" localSheetId="0" hidden="1">o5224908!$A$1:$K$29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F8" i="1" l="1"/>
  <c r="F24" i="1"/>
  <c r="F15" i="1"/>
  <c r="F25" i="1"/>
  <c r="F13" i="1"/>
  <c r="F11" i="1"/>
  <c r="F14" i="1"/>
  <c r="F9" i="1"/>
  <c r="F12" i="1"/>
  <c r="F10" i="1"/>
  <c r="F22" i="1"/>
  <c r="F20" i="1"/>
  <c r="F28" i="1"/>
  <c r="F17" i="1"/>
  <c r="F23" i="1"/>
  <c r="F19" i="1"/>
  <c r="F16" i="1"/>
  <c r="F26" i="1"/>
  <c r="F2" i="1"/>
  <c r="F18" i="1"/>
  <c r="F7" i="1"/>
  <c r="F3" i="1"/>
  <c r="F21" i="1"/>
  <c r="F29" i="1"/>
  <c r="F27" i="1"/>
  <c r="F5" i="1"/>
  <c r="F4" i="1"/>
  <c r="F6" i="1"/>
  <c r="B8" i="1"/>
  <c r="C8" i="1"/>
  <c r="D8" i="1"/>
  <c r="E8" i="1"/>
  <c r="G8" i="1"/>
  <c r="H8" i="1"/>
  <c r="K8" i="1"/>
  <c r="B24" i="1"/>
  <c r="C24" i="1"/>
  <c r="D24" i="1"/>
  <c r="E24" i="1"/>
  <c r="G24" i="1"/>
  <c r="H24" i="1"/>
  <c r="K24" i="1"/>
  <c r="B15" i="1"/>
  <c r="C15" i="1"/>
  <c r="D15" i="1"/>
  <c r="E15" i="1"/>
  <c r="G15" i="1"/>
  <c r="H15" i="1"/>
  <c r="K15" i="1"/>
  <c r="B25" i="1"/>
  <c r="C25" i="1"/>
  <c r="D25" i="1"/>
  <c r="E25" i="1"/>
  <c r="G25" i="1"/>
  <c r="H25" i="1"/>
  <c r="K25" i="1"/>
  <c r="B13" i="1"/>
  <c r="C13" i="1"/>
  <c r="D13" i="1"/>
  <c r="E13" i="1"/>
  <c r="G13" i="1"/>
  <c r="H13" i="1"/>
  <c r="K13" i="1"/>
  <c r="B11" i="1"/>
  <c r="C11" i="1"/>
  <c r="D11" i="1"/>
  <c r="E11" i="1"/>
  <c r="G11" i="1"/>
  <c r="H11" i="1"/>
  <c r="K11" i="1"/>
  <c r="B14" i="1"/>
  <c r="C14" i="1"/>
  <c r="D14" i="1"/>
  <c r="E14" i="1"/>
  <c r="G14" i="1"/>
  <c r="H14" i="1"/>
  <c r="K14" i="1"/>
  <c r="B9" i="1"/>
  <c r="C9" i="1"/>
  <c r="D9" i="1"/>
  <c r="E9" i="1"/>
  <c r="G9" i="1"/>
  <c r="H9" i="1"/>
  <c r="K9" i="1"/>
  <c r="B12" i="1"/>
  <c r="C12" i="1"/>
  <c r="D12" i="1"/>
  <c r="E12" i="1"/>
  <c r="G12" i="1"/>
  <c r="H12" i="1"/>
  <c r="K12" i="1"/>
  <c r="B10" i="1"/>
  <c r="C10" i="1"/>
  <c r="D10" i="1"/>
  <c r="E10" i="1"/>
  <c r="G10" i="1"/>
  <c r="H10" i="1"/>
  <c r="K10" i="1"/>
  <c r="B22" i="1"/>
  <c r="C22" i="1"/>
  <c r="D22" i="1"/>
  <c r="E22" i="1"/>
  <c r="G22" i="1"/>
  <c r="H22" i="1"/>
  <c r="K22" i="1"/>
  <c r="B20" i="1"/>
  <c r="C20" i="1"/>
  <c r="D20" i="1"/>
  <c r="E20" i="1"/>
  <c r="G20" i="1"/>
  <c r="H20" i="1"/>
  <c r="K20" i="1"/>
  <c r="B28" i="1"/>
  <c r="C28" i="1"/>
  <c r="D28" i="1"/>
  <c r="E28" i="1"/>
  <c r="G28" i="1"/>
  <c r="H28" i="1"/>
  <c r="K28" i="1"/>
  <c r="B17" i="1"/>
  <c r="C17" i="1"/>
  <c r="D17" i="1"/>
  <c r="E17" i="1"/>
  <c r="G17" i="1"/>
  <c r="H17" i="1"/>
  <c r="K17" i="1"/>
  <c r="B23" i="1"/>
  <c r="C23" i="1"/>
  <c r="D23" i="1"/>
  <c r="E23" i="1"/>
  <c r="G23" i="1"/>
  <c r="H23" i="1"/>
  <c r="K23" i="1"/>
  <c r="B19" i="1"/>
  <c r="C19" i="1"/>
  <c r="D19" i="1"/>
  <c r="E19" i="1"/>
  <c r="G19" i="1"/>
  <c r="H19" i="1"/>
  <c r="K19" i="1"/>
  <c r="B16" i="1"/>
  <c r="C16" i="1"/>
  <c r="D16" i="1"/>
  <c r="E16" i="1"/>
  <c r="G16" i="1"/>
  <c r="H16" i="1"/>
  <c r="K16" i="1"/>
  <c r="B26" i="1"/>
  <c r="C26" i="1"/>
  <c r="D26" i="1"/>
  <c r="E26" i="1"/>
  <c r="G26" i="1"/>
  <c r="H26" i="1"/>
  <c r="K26" i="1"/>
  <c r="B2" i="1"/>
  <c r="C2" i="1"/>
  <c r="D2" i="1"/>
  <c r="E2" i="1"/>
  <c r="G2" i="1"/>
  <c r="H2" i="1"/>
  <c r="K2" i="1"/>
  <c r="B18" i="1"/>
  <c r="C18" i="1"/>
  <c r="D18" i="1"/>
  <c r="E18" i="1"/>
  <c r="G18" i="1"/>
  <c r="H18" i="1"/>
  <c r="K18" i="1"/>
  <c r="B7" i="1"/>
  <c r="C7" i="1"/>
  <c r="D7" i="1"/>
  <c r="E7" i="1"/>
  <c r="G7" i="1"/>
  <c r="H7" i="1"/>
  <c r="K7" i="1"/>
  <c r="B3" i="1"/>
  <c r="C3" i="1"/>
  <c r="D3" i="1"/>
  <c r="E3" i="1"/>
  <c r="G3" i="1"/>
  <c r="H3" i="1"/>
  <c r="K3" i="1"/>
  <c r="B21" i="1"/>
  <c r="C21" i="1"/>
  <c r="D21" i="1"/>
  <c r="E21" i="1"/>
  <c r="G21" i="1"/>
  <c r="H21" i="1"/>
  <c r="K21" i="1"/>
  <c r="B29" i="1"/>
  <c r="C29" i="1"/>
  <c r="D29" i="1"/>
  <c r="E29" i="1"/>
  <c r="G29" i="1"/>
  <c r="H29" i="1"/>
  <c r="K29" i="1"/>
  <c r="B27" i="1"/>
  <c r="C27" i="1"/>
  <c r="D27" i="1"/>
  <c r="E27" i="1"/>
  <c r="G27" i="1"/>
  <c r="H27" i="1"/>
  <c r="K27" i="1"/>
  <c r="B5" i="1"/>
  <c r="C5" i="1"/>
  <c r="D5" i="1"/>
  <c r="E5" i="1"/>
  <c r="G5" i="1"/>
  <c r="H5" i="1"/>
  <c r="K5" i="1"/>
  <c r="B4" i="1"/>
  <c r="C4" i="1"/>
  <c r="D4" i="1"/>
  <c r="E4" i="1"/>
  <c r="G4" i="1"/>
  <c r="H4" i="1"/>
  <c r="K4" i="1"/>
  <c r="B6" i="1"/>
  <c r="C6" i="1"/>
  <c r="D6" i="1"/>
  <c r="E6" i="1"/>
  <c r="G6" i="1"/>
  <c r="H6" i="1"/>
  <c r="K6" i="1"/>
</calcChain>
</file>

<file path=xl/sharedStrings.xml><?xml version="1.0" encoding="utf-8"?>
<sst xmlns="http://purl.oclc.org/ooxml/spreadsheetml/main" count="11" uniqueCount="11">
  <si>
    <t>Num_Ctr</t>
  </si>
  <si>
    <t>Fornitore</t>
  </si>
  <si>
    <t>Valido_Da</t>
  </si>
  <si>
    <t>Valido_A</t>
  </si>
  <si>
    <t>Descrizione</t>
  </si>
  <si>
    <t>Descrizione_Linea_Contratto</t>
  </si>
  <si>
    <t>Cig</t>
  </si>
  <si>
    <t>Atc_Codice</t>
  </si>
  <si>
    <t>Prezzo_Unitario_Ctr</t>
  </si>
  <si>
    <t>Importo_Totale_Linea_Ctr</t>
  </si>
  <si>
    <t>Tipologia_Acquisto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</si>
</sst>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_-* #,##0.00000\ &quot;€&quot;_-;\-* #,##0.00000\ &quot;€&quot;_-;_-* &quot;-&quot;?????\ &quot;€&quot;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16" fillId="0" borderId="0" xfId="0" applyFont="1" applyAlignment="1">
      <alignment horizontal="center" vertical="center" wrapText="1"/>
    </xf>
    <xf numFmtId="164" fontId="0" fillId="0" borderId="0" xfId="0" applyNumberFormat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K29"/>
  <sheetViews>
    <sheetView tabSelected="1" workbookViewId="0"/>
  </sheetViews>
  <sheetFormatPr defaultRowHeight="14.4" x14ac:dyDescent="0.3"/>
  <cols>
    <col min="1" max="1" width="14.33203125" customWidth="1"/>
    <col min="2" max="2" width="18.6640625" customWidth="1"/>
    <col min="3" max="3" width="19.77734375" customWidth="1"/>
    <col min="4" max="4" width="16.44140625" customWidth="1"/>
    <col min="5" max="5" width="67.21875" customWidth="1"/>
    <col min="6" max="6" width="32.44140625" customWidth="1"/>
    <col min="7" max="7" width="13.109375" customWidth="1"/>
    <col min="8" max="8" width="14.109375" customWidth="1"/>
    <col min="9" max="9" width="20.109375" customWidth="1"/>
    <col min="10" max="10" width="23" customWidth="1"/>
    <col min="11" max="11" width="22.77734375" customWidth="1"/>
  </cols>
  <sheetData>
    <row r="1" spans="1:11" s="1" customFormat="1" ht="39.6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3">
      <c r="A2">
        <v>2023000065</v>
      </c>
      <c r="B2" t="str">
        <f>"BIOGEN ITALIA SRL"</f>
        <v>BIOGEN ITALIA SRL</v>
      </c>
      <c r="C2" t="str">
        <f>"03/01/2023"</f>
        <v>03/01/2023</v>
      </c>
      <c r="D2" t="str">
        <f>"09/09/2023"</f>
        <v>09/09/2023</v>
      </c>
      <c r="E2" t="str">
        <f>"ARIA_2021_025.6 (¿Farmaci biosimiliari - Accordo quadro¿) Lotto 1 Imraldi® (principio attivo: ¿Adalimumab¿) - del. N. 617/2022"</f>
        <v>ARIA_2021_025.6 (¿Farmaci biosimiliari - Accordo quadro¿) Lotto 1 Imraldi® (principio attivo: ¿Adalimumab¿) - del. N. 617/2022</v>
      </c>
      <c r="F2" t="str">
        <f>"IMRALDI *40MG/0,4ML  2PEN SC * ADALIMUMAB"</f>
        <v>IMRALDI *40MG/0,4ML  2PEN SC * ADALIMUMAB</v>
      </c>
      <c r="G2" t="str">
        <f>"95493282C2"</f>
        <v>95493282C2</v>
      </c>
      <c r="H2" t="str">
        <f>"L04AB04"</f>
        <v>L04AB04</v>
      </c>
      <c r="I2" s="2">
        <v>70.209999999999994</v>
      </c>
      <c r="J2" s="2">
        <v>247139.20000000001</v>
      </c>
      <c r="K2" t="str">
        <f>"Arca"</f>
        <v>Arca</v>
      </c>
    </row>
    <row r="3" spans="1:11" x14ac:dyDescent="0.3">
      <c r="A3">
        <v>2023004192</v>
      </c>
      <c r="B3" t="str">
        <f>"UCB PHARMA SPA"</f>
        <v>UCB PHARMA SPA</v>
      </c>
      <c r="C3" t="str">
        <f>"16/02/2023"</f>
        <v>16/02/2023</v>
      </c>
      <c r="D3" t="str">
        <f>"15/02/2024"</f>
        <v>15/02/2024</v>
      </c>
      <c r="E3" t="str">
        <f>"appalto specifico (SDA) ARCA_2020_305 per la fornitura della specialità medicinale Evenity® (Romosuzomab) Del. N. 166/2023"</f>
        <v>appalto specifico (SDA) ARCA_2020_305 per la fornitura della specialità medicinale Evenity® (Romosuzomab) Del. N. 166/2023</v>
      </c>
      <c r="F3" t="str">
        <f>"EVENITY  romosozumab 105 mg ( 2 ) sir. preriemp. in penna preriemp.1,17 ml (90 mg/ml)"</f>
        <v>EVENITY  romosozumab 105 mg ( 2 ) sir. preriemp. in penna preriemp.1,17 ml (90 mg/ml)</v>
      </c>
      <c r="G3" t="str">
        <f>"9671783FCE"</f>
        <v>9671783FCE</v>
      </c>
      <c r="H3" t="str">
        <f>"M05BX06"</f>
        <v>M05BX06</v>
      </c>
      <c r="I3" s="2">
        <v>191.19499999999999</v>
      </c>
      <c r="J3" s="2">
        <v>229434</v>
      </c>
      <c r="K3" t="str">
        <f>"SDA_Aria"</f>
        <v>SDA_Aria</v>
      </c>
    </row>
    <row r="4" spans="1:11" x14ac:dyDescent="0.3">
      <c r="A4">
        <v>2023007918</v>
      </c>
      <c r="B4" t="str">
        <f>"PFIZER SRL"</f>
        <v>PFIZER SRL</v>
      </c>
      <c r="C4" t="str">
        <f>"18/05/2023"</f>
        <v>18/05/2023</v>
      </c>
      <c r="D4" t="str">
        <f>"17/05/2024"</f>
        <v>17/05/2024</v>
      </c>
      <c r="E4" t="str">
        <f>"appalto specifico (SDA) ARCA_2020_305 per la fornitura della specialità medicinale Enbrel® (etanercept) per il periodo di mesi 12 del. N. 287/2023"</f>
        <v>appalto specifico (SDA) ARCA_2020_305 per la fornitura della specialità medicinale Enbrel® (etanercept) per il periodo di mesi 12 del. N. 287/2023</v>
      </c>
      <c r="F4" t="str">
        <f>"ENBREL 50MG 4PEN 1ML+8TAMP *ETANERCEPT"</f>
        <v>ENBREL 50MG 4PEN 1ML+8TAMP *ETANERCEPT</v>
      </c>
      <c r="G4" t="str">
        <f>"977727703A"</f>
        <v>977727703A</v>
      </c>
      <c r="H4" t="str">
        <f>"L04AB01"</f>
        <v>L04AB01</v>
      </c>
      <c r="I4" s="2">
        <v>147.12</v>
      </c>
      <c r="J4" s="2">
        <v>1694822.3999999999</v>
      </c>
      <c r="K4" t="str">
        <f>"SDA_Aria"</f>
        <v>SDA_Aria</v>
      </c>
    </row>
    <row r="5" spans="1:11" x14ac:dyDescent="0.3">
      <c r="A5">
        <v>2023007557</v>
      </c>
      <c r="B5" t="str">
        <f>"ABBVIE SRL a Socio Unico"</f>
        <v>ABBVIE SRL a Socio Unico</v>
      </c>
      <c r="C5" t="str">
        <f>"18/05/2023"</f>
        <v>18/05/2023</v>
      </c>
      <c r="D5" t="str">
        <f>"17/05/2024"</f>
        <v>17/05/2024</v>
      </c>
      <c r="E5" t="str">
        <f>"appalto specifico (SDA) ARCA_2020_305 per la fornitura della specialità medicinale Humira® (adalimumab) per il periodo di mesi 12 del. N. 288/2023"</f>
        <v>appalto specifico (SDA) ARCA_2020_305 per la fornitura della specialità medicinale Humira® (adalimumab) per il periodo di mesi 12 del. N. 288/2023</v>
      </c>
      <c r="F5" t="str">
        <f>"HUMIRA ADALIMUMAB *40MG SC 2PENNE+2T 40 mg soluzione iniettabile 2 penne preriempite 0,4 ml"</f>
        <v>HUMIRA ADALIMUMAB *40MG SC 2PENNE+2T 40 mg soluzione iniettabile 2 penne preriempite 0,4 ml</v>
      </c>
      <c r="G5" t="str">
        <f>"97750198DB"</f>
        <v>97750198DB</v>
      </c>
      <c r="H5" t="str">
        <f>"L04AB04"</f>
        <v>L04AB04</v>
      </c>
      <c r="I5" s="2">
        <v>150</v>
      </c>
      <c r="J5" s="2">
        <v>897000</v>
      </c>
      <c r="K5" t="str">
        <f>"SDA_Aria"</f>
        <v>SDA_Aria</v>
      </c>
    </row>
    <row r="6" spans="1:11" x14ac:dyDescent="0.3">
      <c r="A6">
        <v>2023007920</v>
      </c>
      <c r="B6" t="str">
        <f>"MSD ITALIA SRL"</f>
        <v>MSD ITALIA SRL</v>
      </c>
      <c r="C6" t="str">
        <f>"18/05/2023"</f>
        <v>18/05/2023</v>
      </c>
      <c r="D6" t="str">
        <f>"17/05/2024"</f>
        <v>17/05/2024</v>
      </c>
      <c r="E6" t="str">
        <f>"appalto specifico indetto su Sistema Dinamico di Acquisizione (SDA) ARCA_2020_305 per la fornitura della specialità medicinale Remicade® (Infliximab)per il periodo di mesi 12 det. N. 289/2023"</f>
        <v>appalto specifico indetto su Sistema Dinamico di Acquisizione (SDA) ARCA_2020_305 per la fornitura della specialità medicinale Remicade® (Infliximab)per il periodo di mesi 12 det. N. 289/2023</v>
      </c>
      <c r="F6" t="str">
        <f>"REMICADE*IV 1 FL 100 MG ev INFLIXIMAB 1 flaconcino 100 mg"</f>
        <v>REMICADE*IV 1 FL 100 MG ev INFLIXIMAB 1 flaconcino 100 mg</v>
      </c>
      <c r="G6" t="str">
        <f>"97774162EE"</f>
        <v>97774162EE</v>
      </c>
      <c r="H6" t="str">
        <f>"L04AB02"</f>
        <v>L04AB02</v>
      </c>
      <c r="I6" s="2">
        <v>262.63</v>
      </c>
      <c r="J6" s="2">
        <v>367682</v>
      </c>
      <c r="K6" t="str">
        <f>"SDA_Aria"</f>
        <v>SDA_Aria</v>
      </c>
    </row>
    <row r="7" spans="1:11" x14ac:dyDescent="0.3">
      <c r="A7">
        <v>2023003044</v>
      </c>
      <c r="B7" t="str">
        <f>"ABBVIE SRL a Socio Unico"</f>
        <v>ABBVIE SRL a Socio Unico</v>
      </c>
      <c r="C7" t="str">
        <f>"23/02/2023"</f>
        <v>23/02/2023</v>
      </c>
      <c r="D7" t="str">
        <f>"22/02/2024"</f>
        <v>22/02/2024</v>
      </c>
      <c r="E7" t="str">
        <f>"appalto specifico (SDA) ARCA_2020_305 per la fornitura Rinvoq® 15 mg cpr (upadacitinib) - Del. N. 120/2023"</f>
        <v>appalto specifico (SDA) ARCA_2020_305 per la fornitura Rinvoq® 15 mg cpr (upadacitinib) - Del. N. 120/2023</v>
      </c>
      <c r="F7" t="str">
        <f>"RINVOQ 28CPR* UPADACITINIB 15MG CPR RP"</f>
        <v>RINVOQ 28CPR* UPADACITINIB 15MG CPR RP</v>
      </c>
      <c r="G7" t="str">
        <f>"9633251A33"</f>
        <v>9633251A33</v>
      </c>
      <c r="H7" t="str">
        <f>"L04AA44"</f>
        <v>L04AA44</v>
      </c>
      <c r="I7" s="2">
        <v>19.315000000000001</v>
      </c>
      <c r="J7" s="2">
        <v>231470.96</v>
      </c>
      <c r="K7" t="str">
        <f>"SDA_Aria"</f>
        <v>SDA_Aria</v>
      </c>
    </row>
    <row r="8" spans="1:11" x14ac:dyDescent="0.3">
      <c r="A8">
        <v>2022003078</v>
      </c>
      <c r="B8" t="str">
        <f>"ROCHE SPA Societa Unipersonale"</f>
        <v>ROCHE SPA Societa Unipersonale</v>
      </c>
      <c r="C8" t="str">
        <f>"11/03/2022"</f>
        <v>11/03/2022</v>
      </c>
      <c r="D8" t="str">
        <f>"27/09/2023"</f>
        <v>27/09/2023</v>
      </c>
      <c r="E8" t="str">
        <f>"Adesione all¿accordo quadro ARIA_2021_025.9 (¿Farmaci biosimiliari¿) per la fornitura dei farmaci Mabthera® e Truxima® (¿rituximab¿). Del. N. 126/2022 scad. 27/9/2023"</f>
        <v>Adesione all¿accordo quadro ARIA_2021_025.9 (¿Farmaci biosimiliari¿) per la fornitura dei farmaci Mabthera® e Truxima® (¿rituximab¿). Del. N. 126/2022 scad. 27/9/2023</v>
      </c>
      <c r="F8" t="str">
        <f>"MABTHERA 500MG/50ML EV FL *RITUXIMAB"</f>
        <v>MABTHERA 500MG/50ML EV FL *RITUXIMAB</v>
      </c>
      <c r="G8" t="str">
        <f>"9100396C57"</f>
        <v>9100396C57</v>
      </c>
      <c r="H8" t="str">
        <f>"L01FA01"</f>
        <v>L01FA01</v>
      </c>
      <c r="I8" s="2">
        <v>876.69</v>
      </c>
      <c r="J8" s="2">
        <v>876690</v>
      </c>
      <c r="K8" t="str">
        <f t="shared" ref="K8:K29" si="0">"Arca"</f>
        <v>Arca</v>
      </c>
    </row>
    <row r="9" spans="1:11" x14ac:dyDescent="0.3">
      <c r="A9">
        <v>2022009803</v>
      </c>
      <c r="B9" t="str">
        <f>"AMGEN SRL"</f>
        <v>AMGEN SRL</v>
      </c>
      <c r="C9" t="str">
        <f>"26/07/2022"</f>
        <v>26/07/2022</v>
      </c>
      <c r="D9" t="str">
        <f>"29/06/2025"</f>
        <v>29/06/2025</v>
      </c>
      <c r="E9" t="str">
        <f>"ARIA_2021_025.3 L 2195 - APREMILAST CPR/CPR RIV/CPS/CPS RIG 30 mg - Det. N. 247/2022"</f>
        <v>ARIA_2021_025.3 L 2195 - APREMILAST CPR/CPR RIV/CPS/CPS RIG 30 mg - Det. N. 247/2022</v>
      </c>
      <c r="F9" t="str">
        <f>"OTEZLA APREMILAST *30MG CPR 56CPR"</f>
        <v>OTEZLA APREMILAST *30MG CPR 56CPR</v>
      </c>
      <c r="G9" t="str">
        <f>"93407262F1"</f>
        <v>93407262F1</v>
      </c>
      <c r="H9" t="str">
        <f>"L04AA32"</f>
        <v>L04AA32</v>
      </c>
      <c r="I9" s="2">
        <v>10.28856</v>
      </c>
      <c r="J9" s="2">
        <v>460927.48800000001</v>
      </c>
      <c r="K9" t="str">
        <f t="shared" si="0"/>
        <v>Arca</v>
      </c>
    </row>
    <row r="10" spans="1:11" x14ac:dyDescent="0.3">
      <c r="A10">
        <v>2022010121</v>
      </c>
      <c r="B10" t="str">
        <f>"NOVARTIS FARMA SPA con Socio Unico"</f>
        <v>NOVARTIS FARMA SPA con Socio Unico</v>
      </c>
      <c r="C10" t="str">
        <f>"03/08/2022"</f>
        <v>03/08/2022</v>
      </c>
      <c r="D10" t="str">
        <f t="shared" ref="D10:D29" si="1">"30/06/2025"</f>
        <v>30/06/2025</v>
      </c>
      <c r="E10" t="str">
        <f>"ARIA_2021_025.3 L 2228 - CANAKINUMAB SOLUZIONE INIETTABILE/POLV 150 mg - det. N. 263/2022"</f>
        <v>ARIA_2021_025.3 L 2228 - CANAKINUMAB SOLUZIONE INIETTABILE/POLV 150 mg - det. N. 263/2022</v>
      </c>
      <c r="F10" t="str">
        <f>"ILARIS MG 150/ML FIALA* CANAKINUMAB"</f>
        <v>ILARIS MG 150/ML FIALA* CANAKINUMAB</v>
      </c>
      <c r="G10" t="str">
        <f>"9356071A07"</f>
        <v>9356071A07</v>
      </c>
      <c r="H10" t="str">
        <f>"L04AC08"</f>
        <v>L04AC08</v>
      </c>
      <c r="I10" s="2">
        <v>7147.8</v>
      </c>
      <c r="J10" s="2">
        <v>3430944</v>
      </c>
      <c r="K10" t="str">
        <f t="shared" si="0"/>
        <v>Arca</v>
      </c>
    </row>
    <row r="11" spans="1:11" x14ac:dyDescent="0.3">
      <c r="A11">
        <v>2022009670</v>
      </c>
      <c r="B11" t="str">
        <f>"MSD ITALIA SRL"</f>
        <v>MSD ITALIA SRL</v>
      </c>
      <c r="C11" t="str">
        <f>"22/07/2022"</f>
        <v>22/07/2022</v>
      </c>
      <c r="D11" t="str">
        <f t="shared" si="1"/>
        <v>30/06/2025</v>
      </c>
      <c r="E11" t="str">
        <f>"ARIA_2021_025.3 L 2218 - GOLIMUMAB SOLUZIONE INIETTABILE 50 mg - Det. N. 230/2022"</f>
        <v>ARIA_2021_025.3 L 2218 - GOLIMUMAB SOLUZIONE INIETTABILE 50 mg - Det. N. 230/2022</v>
      </c>
      <c r="F11" t="str">
        <f>"SIMPONI MG 50/ML 0,5  SIRINGA PRERIEMPITA* GOLIMUMAB"</f>
        <v>SIMPONI MG 50/ML 0,5  SIRINGA PRERIEMPITA* GOLIMUMAB</v>
      </c>
      <c r="G11" t="str">
        <f>"9336215857"</f>
        <v>9336215857</v>
      </c>
      <c r="H11" t="str">
        <f>"L04AB06"</f>
        <v>L04AB06</v>
      </c>
      <c r="I11" s="2">
        <v>626.51</v>
      </c>
      <c r="J11" s="2">
        <v>3007248</v>
      </c>
      <c r="K11" t="str">
        <f t="shared" si="0"/>
        <v>Arca</v>
      </c>
    </row>
    <row r="12" spans="1:11" x14ac:dyDescent="0.3">
      <c r="A12">
        <v>2022009853</v>
      </c>
      <c r="B12" t="str">
        <f>"ROCHE SPA Societa Unipersonale"</f>
        <v>ROCHE SPA Societa Unipersonale</v>
      </c>
      <c r="C12" t="str">
        <f>"27/07/2022"</f>
        <v>27/07/2022</v>
      </c>
      <c r="D12" t="str">
        <f t="shared" si="1"/>
        <v>30/06/2025</v>
      </c>
      <c r="E12" t="str">
        <f>"ARIA_2021_025.3 (Farmaci ARIA) L 2224 - TOCILIZUMAB SOLUZIONE INIETTABILE 162 mg - det. N. 4/2023"</f>
        <v>ARIA_2021_025.3 (Farmaci ARIA) L 2224 - TOCILIZUMAB SOLUZIONE INIETTABILE 162 mg - det. N. 4/2023</v>
      </c>
      <c r="F12" t="str">
        <f>"ROACTEMRA 162MG SC 4SIR 0,9ML *TOCILIZUMAB"</f>
        <v>ROACTEMRA 162MG SC 4SIR 0,9ML *TOCILIZUMAB</v>
      </c>
      <c r="G12" t="str">
        <f>"9344910FAC"</f>
        <v>9344910FAC</v>
      </c>
      <c r="H12" t="str">
        <f>"L04AC07"</f>
        <v>L04AC07</v>
      </c>
      <c r="I12" s="2">
        <v>161.815</v>
      </c>
      <c r="J12" s="2">
        <v>2459588</v>
      </c>
      <c r="K12" t="str">
        <f t="shared" si="0"/>
        <v>Arca</v>
      </c>
    </row>
    <row r="13" spans="1:11" x14ac:dyDescent="0.3">
      <c r="A13">
        <v>2022009664</v>
      </c>
      <c r="B13" t="str">
        <f>"BRISTOL - MYERS SQUIBB SRL Societa Unipersonale"</f>
        <v>BRISTOL - MYERS SQUIBB SRL Societa Unipersonale</v>
      </c>
      <c r="C13" t="str">
        <f>"22/07/2022"</f>
        <v>22/07/2022</v>
      </c>
      <c r="D13" t="str">
        <f t="shared" si="1"/>
        <v>30/06/2025</v>
      </c>
      <c r="E13" t="str">
        <f>"ARIA_2021_025.3 L 2183 - ABATACEPT SOLUZIONE INIETTABILE 125 mcg - Det. N. 253/2022"</f>
        <v>ARIA_2021_025.3 L 2183 - ABATACEPT SOLUZIONE INIETTABILE 125 mcg - Det. N. 253/2022</v>
      </c>
      <c r="F13" t="str">
        <f>"ORENCIA 125MG/ML SC *ABATACEPT 4SIR"</f>
        <v>ORENCIA 125MG/ML SC *ABATACEPT 4SIR</v>
      </c>
      <c r="G13" t="str">
        <f>"9326052592"</f>
        <v>9326052592</v>
      </c>
      <c r="H13" t="str">
        <f>"L04AA24"</f>
        <v>L04AA24</v>
      </c>
      <c r="I13" s="2">
        <v>130.42750000000001</v>
      </c>
      <c r="J13" s="2">
        <v>2347695</v>
      </c>
      <c r="K13" t="str">
        <f t="shared" si="0"/>
        <v>Arca</v>
      </c>
    </row>
    <row r="14" spans="1:11" x14ac:dyDescent="0.3">
      <c r="A14">
        <v>2022009683</v>
      </c>
      <c r="B14" t="str">
        <f>"NOVARTIS FARMA SPA con Socio Unico"</f>
        <v>NOVARTIS FARMA SPA con Socio Unico</v>
      </c>
      <c r="C14" t="str">
        <f>"22/07/2022"</f>
        <v>22/07/2022</v>
      </c>
      <c r="D14" t="str">
        <f t="shared" si="1"/>
        <v>30/06/2025</v>
      </c>
      <c r="E14" t="str">
        <f>"ARIA_2021_025.3 L 2229 - SECUKINUMAB SOLUZIONE INIETTABILE 150 mg - tutti i confezionamenti - det. N. 263/2022"</f>
        <v>ARIA_2021_025.3 L 2229 - SECUKINUMAB SOLUZIONE INIETTABILE 150 mg - tutti i confezionamenti - det. N. 263/2022</v>
      </c>
      <c r="F14" t="str">
        <f>"COSENTYX 150MG/ML *SECUKINUMAB - 2 PENNE PRERIEMPITE"</f>
        <v>COSENTYX 150MG/ML *SECUKINUMAB - 2 PENNE PRERIEMPITE</v>
      </c>
      <c r="G14" t="str">
        <f>"9337874166"</f>
        <v>9337874166</v>
      </c>
      <c r="H14" t="str">
        <f>"L04AC10"</f>
        <v>L04AC10</v>
      </c>
      <c r="I14" s="2">
        <v>400.99</v>
      </c>
      <c r="J14" s="2">
        <v>1783603.52</v>
      </c>
      <c r="K14" t="str">
        <f t="shared" si="0"/>
        <v>Arca</v>
      </c>
    </row>
    <row r="15" spans="1:11" x14ac:dyDescent="0.3">
      <c r="A15">
        <v>2022009530</v>
      </c>
      <c r="B15" t="str">
        <f>"ELI LILLY ITALIA SPA"</f>
        <v>ELI LILLY ITALIA SPA</v>
      </c>
      <c r="C15" t="str">
        <f>"20/07/2022"</f>
        <v>20/07/2022</v>
      </c>
      <c r="D15" t="str">
        <f t="shared" si="1"/>
        <v>30/06/2025</v>
      </c>
      <c r="E15" t="str">
        <f>"ARIA_2021_025.3 L 2200 - BARICITINIB CPR/CPR RIV/CPS/CPS RIG 4 mg - det. N. 12/2023"</f>
        <v>ARIA_2021_025.3 L 2200 - BARICITINIB CPR/CPR RIV/CPS/CPS RIG 4 mg - det. N. 12/2023</v>
      </c>
      <c r="F15" t="str">
        <f>"OLUMIANT 4MG CPR RIV *BARICITINIB 28CPR"</f>
        <v>OLUMIANT 4MG CPR RIV *BARICITINIB 28CPR</v>
      </c>
      <c r="G15" t="str">
        <f>"933241587B"</f>
        <v>933241587B</v>
      </c>
      <c r="H15" t="str">
        <f>"L04AA37"</f>
        <v>L04AA37</v>
      </c>
      <c r="I15" s="2">
        <v>20.749289999999998</v>
      </c>
      <c r="J15" s="2">
        <v>1662765.10344</v>
      </c>
      <c r="K15" t="str">
        <f t="shared" si="0"/>
        <v>Arca</v>
      </c>
    </row>
    <row r="16" spans="1:11" x14ac:dyDescent="0.3">
      <c r="A16">
        <v>2022016081</v>
      </c>
      <c r="B16" t="str">
        <f>"UCB PHARMA SPA"</f>
        <v>UCB PHARMA SPA</v>
      </c>
      <c r="C16" t="str">
        <f>"05/12/2022"</f>
        <v>05/12/2022</v>
      </c>
      <c r="D16" t="str">
        <f t="shared" si="1"/>
        <v>30/06/2025</v>
      </c>
      <c r="E16" t="str">
        <f>"Farmaci ARIA - UCB PHARMA - ARIA_2021_025.3 - Lotto 2215 - CERTOLIZUMAB PEGOL SOLUZIONE INIETTABILE 200 mg Det. N."</f>
        <v>Farmaci ARIA - UCB PHARMA - ARIA_2021_025.3 - Lotto 2215 - CERTOLIZUMAB PEGOL SOLUZIONE INIETTABILE 200 mg Det. N.</v>
      </c>
      <c r="F16" t="str">
        <f>"CIMZIA MG 200/ML* 2 PENNE*CERTOLIZUMAB"</f>
        <v>CIMZIA MG 200/ML* 2 PENNE*CERTOLIZUMAB</v>
      </c>
      <c r="G16" t="str">
        <f>"9530109EB9"</f>
        <v>9530109EB9</v>
      </c>
      <c r="H16" t="str">
        <f>"L04AB05"</f>
        <v>L04AB05</v>
      </c>
      <c r="I16" s="2">
        <v>266.38900000000001</v>
      </c>
      <c r="J16" s="2">
        <v>1534400.64</v>
      </c>
      <c r="K16" t="str">
        <f t="shared" si="0"/>
        <v>Arca</v>
      </c>
    </row>
    <row r="17" spans="1:11" x14ac:dyDescent="0.3">
      <c r="A17">
        <v>2022011713</v>
      </c>
      <c r="B17" t="str">
        <f>"ABBVIE SRL a Socio Unico"</f>
        <v>ABBVIE SRL a Socio Unico</v>
      </c>
      <c r="C17" t="str">
        <f>"19/09/2022"</f>
        <v>19/09/2022</v>
      </c>
      <c r="D17" t="str">
        <f t="shared" si="1"/>
        <v>30/06/2025</v>
      </c>
      <c r="E17" t="str">
        <f>"ARIA_2021_025.3 (Farmaci ARIA - Abbvie) Lotto 2748 - LEVODOPA/CARBIDOPA GEL INTESTINALE 20 mg/ml + 5 mg/ml - Det. N. 229/2022"</f>
        <v>ARIA_2021_025.3 (Farmaci ARIA - Abbvie) Lotto 2748 - LEVODOPA/CARBIDOPA GEL INTESTINALE 20 mg/ml + 5 mg/ml - Det. N. 229/2022</v>
      </c>
      <c r="F17" t="str">
        <f>"LEVODOPA + CARBIDOPA DUODOPA*20+5MG/ML GEL 7 CAS"</f>
        <v>LEVODOPA + CARBIDOPA DUODOPA*20+5MG/ML GEL 7 CAS</v>
      </c>
      <c r="G17" t="str">
        <f>"9406336207"</f>
        <v>9406336207</v>
      </c>
      <c r="H17" t="str">
        <f>"N04BA02"</f>
        <v>N04BA02</v>
      </c>
      <c r="I17" s="2">
        <v>67.254300000000001</v>
      </c>
      <c r="J17" s="2">
        <v>941560.2</v>
      </c>
      <c r="K17" t="str">
        <f t="shared" si="0"/>
        <v>Arca</v>
      </c>
    </row>
    <row r="18" spans="1:11" x14ac:dyDescent="0.3">
      <c r="A18">
        <v>2023000837</v>
      </c>
      <c r="B18" t="str">
        <f>"PFIZER SRL"</f>
        <v>PFIZER SRL</v>
      </c>
      <c r="C18" t="str">
        <f>"18/01/2023"</f>
        <v>18/01/2023</v>
      </c>
      <c r="D18" t="str">
        <f t="shared" si="1"/>
        <v>30/06/2025</v>
      </c>
      <c r="E18" t="str">
        <f>"Rinnovo Farmaci ARIA - PFIZER - ARIA_2021_025.3R Lotto 2192 - TOFACITINIB CITRATO CPR/CPR RIV/CPS/CPS RIG 5 mg Det. N. 22/2023"</f>
        <v>Rinnovo Farmaci ARIA - PFIZER - ARIA_2021_025.3R Lotto 2192 - TOFACITINIB CITRATO CPR/CPR RIV/CPS/CPS RIG 5 mg Det. N. 22/2023</v>
      </c>
      <c r="F18" t="str">
        <f>"XELJANZ 5MG * TOFACITINIB 56 CPR"</f>
        <v>XELJANZ 5MG * TOFACITINIB 56 CPR</v>
      </c>
      <c r="G18" t="str">
        <f>"9610620683"</f>
        <v>9610620683</v>
      </c>
      <c r="H18" t="str">
        <f>"L04AA29"</f>
        <v>L04AA29</v>
      </c>
      <c r="I18" s="2">
        <v>8.9664300000000008</v>
      </c>
      <c r="J18" s="2">
        <v>753180.12</v>
      </c>
      <c r="K18" t="str">
        <f t="shared" si="0"/>
        <v>Arca</v>
      </c>
    </row>
    <row r="19" spans="1:11" x14ac:dyDescent="0.3">
      <c r="A19">
        <v>2022014575</v>
      </c>
      <c r="B19" t="str">
        <f>"BOEHRINGER INGELHEIM ITALIA SPA"</f>
        <v>BOEHRINGER INGELHEIM ITALIA SPA</v>
      </c>
      <c r="C19" t="str">
        <f>"09/11/2022"</f>
        <v>09/11/2022</v>
      </c>
      <c r="D19" t="str">
        <f t="shared" si="1"/>
        <v>30/06/2025</v>
      </c>
      <c r="E19" t="str">
        <f>"ARIA_2021_025.3 ('Farmaci ARIA') L 2012 NINTEDANIB ESILATO - OFEV CAPSULE MOLLI 150 mg - Det. N. 248/2022"</f>
        <v>ARIA_2021_025.3 ('Farmaci ARIA') L 2012 NINTEDANIB ESILATO - OFEV CAPSULE MOLLI 150 mg - Det. N. 248/2022</v>
      </c>
      <c r="F19" t="str">
        <f>"OFEV 150MG NINTEDANIB  60CPS"</f>
        <v>OFEV 150MG NINTEDANIB  60CPS</v>
      </c>
      <c r="G19" t="str">
        <f>"9483941BB0"</f>
        <v>9483941BB0</v>
      </c>
      <c r="H19" t="str">
        <f>"L01EX09"</f>
        <v>L01EX09</v>
      </c>
      <c r="I19" s="2">
        <v>28.029170000000001</v>
      </c>
      <c r="J19" s="2">
        <v>706335.08400000003</v>
      </c>
      <c r="K19" t="str">
        <f t="shared" si="0"/>
        <v>Arca</v>
      </c>
    </row>
    <row r="20" spans="1:11" x14ac:dyDescent="0.3">
      <c r="A20">
        <v>2022010128</v>
      </c>
      <c r="B20" t="str">
        <f>"GLAXOSMITHKLINE SPA Unipersonale"</f>
        <v>GLAXOSMITHKLINE SPA Unipersonale</v>
      </c>
      <c r="C20" t="str">
        <f>"03/08/2022"</f>
        <v>03/08/2022</v>
      </c>
      <c r="D20" t="str">
        <f t="shared" si="1"/>
        <v>30/06/2025</v>
      </c>
      <c r="E20" t="str">
        <f>"ARIA_2021_025.3 L 2187 - BELIMUMAB SOLUZIONE INIETTABILE 200 mg"</f>
        <v>ARIA_2021_025.3 L 2187 - BELIMUMAB SOLUZIONE INIETTABILE 200 mg</v>
      </c>
      <c r="F20" t="str">
        <f>"BENLYSTA 200MG PENNE SC *BELIMUMAB 4PEN"</f>
        <v>BENLYSTA 200MG PENNE SC *BELIMUMAB 4PEN</v>
      </c>
      <c r="G20" t="str">
        <f>"9356294210"</f>
        <v>9356294210</v>
      </c>
      <c r="H20" t="str">
        <f>"L04AA26"</f>
        <v>L04AA26</v>
      </c>
      <c r="I20" s="2">
        <v>142.73249999999999</v>
      </c>
      <c r="J20" s="2">
        <v>698818.32</v>
      </c>
      <c r="K20" t="str">
        <f t="shared" si="0"/>
        <v>Arca</v>
      </c>
    </row>
    <row r="21" spans="1:11" x14ac:dyDescent="0.3">
      <c r="A21">
        <v>2023006148</v>
      </c>
      <c r="B21" t="str">
        <f>"SANOFI SRL"</f>
        <v>SANOFI SRL</v>
      </c>
      <c r="C21" t="str">
        <f>"26/04/2023"</f>
        <v>26/04/2023</v>
      </c>
      <c r="D21" t="str">
        <f t="shared" si="1"/>
        <v>30/06/2025</v>
      </c>
      <c r="E21" t="str">
        <f>"Farmaci ARIA - SANOFI - ARIA_2021_025.3Lotto 2235 - SARILUMAB SOLUZIONE INIETTABILE 200 mg Det. 49/2023"</f>
        <v>Farmaci ARIA - SANOFI - ARIA_2021_025.3Lotto 2235 - SARILUMAB SOLUZIONE INIETTABILE 200 mg Det. 49/2023</v>
      </c>
      <c r="F21" t="str">
        <f>"KEVZARA 200MG* 2 SIR SARILUMAB SC"</f>
        <v>KEVZARA 200MG* 2 SIR SARILUMAB SC</v>
      </c>
      <c r="G21" t="str">
        <f>"9721530C55"</f>
        <v>9721530C55</v>
      </c>
      <c r="H21" t="str">
        <f>"L04AC14"</f>
        <v>L04AC14</v>
      </c>
      <c r="I21" s="2">
        <v>329.82499999999999</v>
      </c>
      <c r="J21" s="2">
        <v>656351.75</v>
      </c>
      <c r="K21" t="str">
        <f t="shared" si="0"/>
        <v>Arca</v>
      </c>
    </row>
    <row r="22" spans="1:11" x14ac:dyDescent="0.3">
      <c r="A22">
        <v>2022010126</v>
      </c>
      <c r="B22" t="str">
        <f>"JANSSEN-CILAG SPA"</f>
        <v>JANSSEN-CILAG SPA</v>
      </c>
      <c r="C22" t="str">
        <f>"03/08/2022"</f>
        <v>03/08/2022</v>
      </c>
      <c r="D22" t="str">
        <f t="shared" si="1"/>
        <v>30/06/2025</v>
      </c>
      <c r="E22" t="str">
        <f>"ARIA_2021_025.3 L 2221 - USTEKINUMAB SOLUZIONE INIETTABILE 45 mg - det. N. 260/2022"</f>
        <v>ARIA_2021_025.3 L 2221 - USTEKINUMAB SOLUZIONE INIETTABILE 45 mg - det. N. 260/2022</v>
      </c>
      <c r="F22" t="str">
        <f>"STELARA*45MG SC SIR. 0,5ML* USTEKINUMAB"</f>
        <v>STELARA*45MG SC SIR. 0,5ML* USTEKINUMAB</v>
      </c>
      <c r="G22" t="str">
        <f>"9356193EB3"</f>
        <v>9356193EB3</v>
      </c>
      <c r="H22" t="str">
        <f>"L04AC05"</f>
        <v>L04AC05</v>
      </c>
      <c r="I22" s="2">
        <v>2048.0100000000002</v>
      </c>
      <c r="J22" s="2">
        <v>491522.4</v>
      </c>
      <c r="K22" t="str">
        <f t="shared" si="0"/>
        <v>Arca</v>
      </c>
    </row>
    <row r="23" spans="1:11" x14ac:dyDescent="0.3">
      <c r="A23">
        <v>2022014251</v>
      </c>
      <c r="B23" t="str">
        <f>"GALAPAGOS BIOPHARMA ITALY SRL"</f>
        <v>GALAPAGOS BIOPHARMA ITALY SRL</v>
      </c>
      <c r="C23" t="str">
        <f>"03/11/2022"</f>
        <v>03/11/2022</v>
      </c>
      <c r="D23" t="str">
        <f t="shared" si="1"/>
        <v>30/06/2025</v>
      </c>
      <c r="E23" t="str">
        <f>"Rinnovo Farmaci ARIA - Galapagos Biopharma Italy - ARIA_2021_025.3R - Lotto 2208 - FILGOTINIB CPR/CPR RIV/CPS/CPS RIG 200 mg - det. N. 261/2022"</f>
        <v>Rinnovo Farmaci ARIA - Galapagos Biopharma Italy - ARIA_2021_025.3R - Lotto 2208 - FILGOTINIB CPR/CPR RIV/CPS/CPS RIG 200 mg - det. N. 261/2022</v>
      </c>
      <c r="F23" t="str">
        <f>"JYSELECA  200MG FILGOTINIB  30CPR RIV"</f>
        <v>JYSELECA  200MG FILGOTINIB  30CPR RIV</v>
      </c>
      <c r="G23" t="str">
        <f>"9474026594"</f>
        <v>9474026594</v>
      </c>
      <c r="H23" t="str">
        <f>"L04AA45"</f>
        <v>L04AA45</v>
      </c>
      <c r="I23" s="2">
        <v>18.359000000000002</v>
      </c>
      <c r="J23" s="2">
        <v>440616</v>
      </c>
      <c r="K23" t="str">
        <f t="shared" si="0"/>
        <v>Arca</v>
      </c>
    </row>
    <row r="24" spans="1:11" x14ac:dyDescent="0.3">
      <c r="A24">
        <v>2022009525</v>
      </c>
      <c r="B24" t="str">
        <f>"BRISTOL - MYERS SQUIBB SRL Societa Unipersonale"</f>
        <v>BRISTOL - MYERS SQUIBB SRL Societa Unipersonale</v>
      </c>
      <c r="C24" t="str">
        <f>"20/07/2022"</f>
        <v>20/07/2022</v>
      </c>
      <c r="D24" t="str">
        <f t="shared" si="1"/>
        <v>30/06/2025</v>
      </c>
      <c r="E24" t="str">
        <f>"ARIA_2021_025.3 L 2182 - ABATACEPT POLV CONC SOLUZIONE PER INFUS 250 mg"</f>
        <v>ARIA_2021_025.3 L 2182 - ABATACEPT POLV CONC SOLUZIONE PER INFUS 250 mg</v>
      </c>
      <c r="F24" t="str">
        <f>"ORENCIA 250MG FL+SIR *ABATACEPT 3 FL"</f>
        <v>ORENCIA 250MG FL+SIR *ABATACEPT 3 FL</v>
      </c>
      <c r="G24" t="str">
        <f>"9332341B69"</f>
        <v>9332341B69</v>
      </c>
      <c r="H24" t="str">
        <f>"L04AA24"</f>
        <v>L04AA24</v>
      </c>
      <c r="I24" s="2">
        <v>193.34</v>
      </c>
      <c r="J24" s="2">
        <v>371212.79999999999</v>
      </c>
      <c r="K24" t="str">
        <f t="shared" si="0"/>
        <v>Arca</v>
      </c>
    </row>
    <row r="25" spans="1:11" x14ac:dyDescent="0.3">
      <c r="A25">
        <v>2022009533</v>
      </c>
      <c r="B25" t="str">
        <f>"ELI LILLY ITALIA SPA"</f>
        <v>ELI LILLY ITALIA SPA</v>
      </c>
      <c r="C25" t="str">
        <f>"20/07/2022"</f>
        <v>20/07/2022</v>
      </c>
      <c r="D25" t="str">
        <f t="shared" si="1"/>
        <v>30/06/2025</v>
      </c>
      <c r="E25" t="str">
        <f>"ARIA_2021_025.3 L 2233 - IXEKIZUMAB SOLUZIONE INIETTABILE 80 mg - tutte le confezioni - det. N. 12/2023"</f>
        <v>ARIA_2021_025.3 L 2233 - IXEKIZUMAB SOLUZIONE INIETTABILE 80 mg - tutte le confezioni - det. N. 12/2023</v>
      </c>
      <c r="F25" t="str">
        <f>"TALTZ  80MG/ML PENNA *IXEKIZUMAB  2 PENNE"</f>
        <v>TALTZ  80MG/ML PENNA *IXEKIZUMAB  2 PENNE</v>
      </c>
      <c r="G25" t="str">
        <f>"93324315B0"</f>
        <v>93324315B0</v>
      </c>
      <c r="H25" t="str">
        <f>"L04AC13"</f>
        <v>L04AC13</v>
      </c>
      <c r="I25" s="2">
        <v>759.52499999999998</v>
      </c>
      <c r="J25" s="2">
        <v>364572</v>
      </c>
      <c r="K25" t="str">
        <f t="shared" si="0"/>
        <v>Arca</v>
      </c>
    </row>
    <row r="26" spans="1:11" x14ac:dyDescent="0.3">
      <c r="A26">
        <v>2022016084</v>
      </c>
      <c r="B26" t="str">
        <f>"SWEDISH ORPHAN BIOVITRUM SRL"</f>
        <v>SWEDISH ORPHAN BIOVITRUM SRL</v>
      </c>
      <c r="C26" t="str">
        <f>"05/12/2022"</f>
        <v>05/12/2022</v>
      </c>
      <c r="D26" t="str">
        <f t="shared" si="1"/>
        <v>30/06/2025</v>
      </c>
      <c r="E26" t="str">
        <f>"Farmaci ARIA - Swedish Orphan Biovitrum - ARIA_2022_027.2, Lotto947 - ANAKINRA-SOLUZIONE INIETTABILE-100 mg/0,67 ml-SIR/PENNA - Del. N. 644/2022"</f>
        <v>Farmaci ARIA - Swedish Orphan Biovitrum - ARIA_2022_027.2, Lotto947 - ANAKINRA-SOLUZIONE INIETTABILE-100 mg/0,67 ml-SIR/PENNA - Del. N. 644/2022</v>
      </c>
      <c r="F26" t="str">
        <f>"KINERET 100MG/0,67ML  7SIR. *ANAKINRA"</f>
        <v>KINERET 100MG/0,67ML  7SIR. *ANAKINRA</v>
      </c>
      <c r="G26" t="str">
        <f>"9527057824"</f>
        <v>9527057824</v>
      </c>
      <c r="H26" t="str">
        <f>"L04AC03"</f>
        <v>L04AC03</v>
      </c>
      <c r="I26" s="2">
        <v>25.62649</v>
      </c>
      <c r="J26" s="2">
        <v>344420.02559999999</v>
      </c>
      <c r="K26" t="str">
        <f t="shared" si="0"/>
        <v>Arca</v>
      </c>
    </row>
    <row r="27" spans="1:11" x14ac:dyDescent="0.3">
      <c r="A27">
        <v>2023006892</v>
      </c>
      <c r="B27" t="str">
        <f>"JANSSEN-CILAG SPA"</f>
        <v>JANSSEN-CILAG SPA</v>
      </c>
      <c r="C27" t="str">
        <f>"11/05/2023"</f>
        <v>11/05/2023</v>
      </c>
      <c r="D27" t="str">
        <f t="shared" si="1"/>
        <v>30/06/2025</v>
      </c>
      <c r="E27" t="str">
        <f>"Farmaci ARIA - JANSSEN-CILAG - ARIA_2021_025.3 Lotto 2236 - GUSELKUMAB SOLUZIONE INIETTABILE 100 mg/ml Det. 45/2023"</f>
        <v>Farmaci ARIA - JANSSEN-CILAG - ARIA_2021_025.3 Lotto 2236 - GUSELKUMAB SOLUZIONE INIETTABILE 100 mg/ml Det. 45/2023</v>
      </c>
      <c r="F27" t="str">
        <f>"TREMFYA 100MG/ML * GUSELKUMAB 1 PENNA SC 1 ML"</f>
        <v>TREMFYA 100MG/ML * GUSELKUMAB 1 PENNA SC 1 ML</v>
      </c>
      <c r="G27" t="str">
        <f>"9747116693"</f>
        <v>9747116693</v>
      </c>
      <c r="H27" t="str">
        <f>" L04AC16"</f>
        <v xml:space="preserve"> L04AC16</v>
      </c>
      <c r="I27" s="2">
        <v>1237.78</v>
      </c>
      <c r="J27" s="2">
        <v>309445</v>
      </c>
      <c r="K27" t="str">
        <f t="shared" si="0"/>
        <v>Arca</v>
      </c>
    </row>
    <row r="28" spans="1:11" x14ac:dyDescent="0.3">
      <c r="A28">
        <v>2022010681</v>
      </c>
      <c r="B28" t="str">
        <f>"JANSSEN-CILAG SPA"</f>
        <v>JANSSEN-CILAG SPA</v>
      </c>
      <c r="C28" t="str">
        <f>"23/08/2022"</f>
        <v>23/08/2022</v>
      </c>
      <c r="D28" t="str">
        <f t="shared" si="1"/>
        <v>30/06/2025</v>
      </c>
      <c r="E28" t="str">
        <f>"ARIA_2021_025.3 Farmaci ARIA L 788 - MACITENTAN CPR/CPR RIV/CPS/CPS RIG 10 mg - det. N. 260/2022"</f>
        <v>ARIA_2021_025.3 Farmaci ARIA L 788 - MACITENTAN CPR/CPR RIV/CPS/CPS RIG 10 mg - det. N. 260/2022</v>
      </c>
      <c r="F28" t="str">
        <f>"OPSUMIT 10MG CPR RIV *MACITENTAN  30 CPR RIV"</f>
        <v>OPSUMIT 10MG CPR RIV *MACITENTAN  30 CPR RIV</v>
      </c>
      <c r="G28" t="str">
        <f>"9357174841"</f>
        <v>9357174841</v>
      </c>
      <c r="H28" t="str">
        <f>"C02KX04"</f>
        <v>C02KX04</v>
      </c>
      <c r="I28" s="2">
        <v>79.733999999999995</v>
      </c>
      <c r="J28" s="2">
        <v>251162.1</v>
      </c>
      <c r="K28" t="str">
        <f t="shared" si="0"/>
        <v>Arca</v>
      </c>
    </row>
    <row r="29" spans="1:11" x14ac:dyDescent="0.3">
      <c r="A29">
        <v>2023006151</v>
      </c>
      <c r="B29" t="str">
        <f>"SANOFI SRL"</f>
        <v>SANOFI SRL</v>
      </c>
      <c r="C29" t="str">
        <f>"26/04/2023"</f>
        <v>26/04/2023</v>
      </c>
      <c r="D29" t="str">
        <f t="shared" si="1"/>
        <v>30/06/2025</v>
      </c>
      <c r="E29" t="str">
        <f>"Farmaci ARIA - SANOFI - ARIA_2021_025.3 Lotto 2234 - SARILUMAB SOLUZIONE INIETTABILE 150 mg - Det. 49/2023"</f>
        <v>Farmaci ARIA - SANOFI - ARIA_2021_025.3 Lotto 2234 - SARILUMAB SOLUZIONE INIETTABILE 150 mg - Det. 49/2023</v>
      </c>
      <c r="F29" t="str">
        <f>"KEVZARA 150MG* 2 PENNE SARILUMAB SC"</f>
        <v>KEVZARA 150MG* 2 PENNE SARILUMAB SC</v>
      </c>
      <c r="G29" t="str">
        <f>"9742106033"</f>
        <v>9742106033</v>
      </c>
      <c r="H29" t="str">
        <f>"L04AC14"</f>
        <v>L04AC14</v>
      </c>
      <c r="I29" s="2">
        <v>329.82499999999999</v>
      </c>
      <c r="J29" s="2">
        <v>230877.5</v>
      </c>
      <c r="K29" t="str">
        <f t="shared" si="0"/>
        <v>Arca</v>
      </c>
    </row>
  </sheetData>
  <autoFilter ref="A1:K490">
    <sortState ref="A2:K490">
      <sortCondition ref="D1:D490"/>
    </sortState>
  </autoFilter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o5224908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Caldarella Paolo Luca</dc:creator>
  <cp:lastModifiedBy>Caldarella Paolo Luca</cp:lastModifiedBy>
  <dcterms:created xsi:type="dcterms:W3CDTF">2023-07-03T15:03:54Z</dcterms:created>
  <dcterms:modified xsi:type="dcterms:W3CDTF">2023-07-03T16:02:48Z</dcterms:modified>
</cp:coreProperties>
</file>